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28035" windowHeight="143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B15" i="1" l="1"/>
  <c r="AB10" i="1" l="1"/>
  <c r="X10" i="1"/>
  <c r="AB9" i="1"/>
  <c r="X9" i="1"/>
  <c r="AB19" i="1"/>
  <c r="AB18" i="1"/>
  <c r="AB28" i="1" s="1"/>
  <c r="X19" i="1"/>
  <c r="X29" i="1" s="1"/>
  <c r="X18" i="1"/>
  <c r="X28" i="1" s="1"/>
  <c r="AB29" i="1"/>
  <c r="AB23" i="1"/>
  <c r="AC29" i="1"/>
  <c r="AC28" i="1"/>
  <c r="AC27" i="1"/>
  <c r="AC24" i="1"/>
  <c r="AC23" i="1"/>
  <c r="Y29" i="1"/>
  <c r="Y28" i="1"/>
  <c r="Y27" i="1"/>
  <c r="Y23" i="1"/>
  <c r="X23" i="1"/>
  <c r="X17" i="1"/>
  <c r="X27" i="1" s="1"/>
  <c r="AB17" i="1"/>
  <c r="AB27" i="1" s="1"/>
  <c r="AB25" i="1"/>
  <c r="AC14" i="1"/>
  <c r="AC17" i="1"/>
  <c r="AC18" i="1"/>
  <c r="AC19" i="1"/>
  <c r="AC13" i="1"/>
  <c r="Y17" i="1"/>
  <c r="Y18" i="1"/>
  <c r="Y19" i="1"/>
  <c r="Y13" i="1"/>
  <c r="AC10" i="1"/>
  <c r="AC9" i="1"/>
  <c r="AC8" i="1"/>
  <c r="AB8" i="1"/>
  <c r="AB7" i="1"/>
  <c r="AC5" i="1"/>
  <c r="Y10" i="1"/>
  <c r="Y9" i="1"/>
  <c r="Y8" i="1"/>
  <c r="X8" i="1"/>
  <c r="X7" i="1"/>
  <c r="O3" i="1" l="1"/>
  <c r="O4" i="1" s="1"/>
  <c r="U6" i="1"/>
  <c r="U5" i="1"/>
  <c r="S5" i="1" l="1"/>
  <c r="T5" i="1"/>
  <c r="O16" i="1"/>
  <c r="O20" i="1" s="1"/>
  <c r="O13" i="1"/>
  <c r="O15" i="1" s="1"/>
  <c r="O6" i="1"/>
  <c r="O9" i="1" s="1"/>
  <c r="P4" i="1"/>
  <c r="Y7" i="1" l="1"/>
  <c r="Y16" i="1" s="1"/>
  <c r="Y26" i="1" s="1"/>
  <c r="X14" i="1"/>
  <c r="X16" i="1"/>
  <c r="X26" i="1" s="1"/>
  <c r="P9" i="1"/>
  <c r="Y5" i="1"/>
  <c r="Y14" i="1" s="1"/>
  <c r="Y24" i="1" s="1"/>
  <c r="P20" i="1"/>
  <c r="O29" i="1"/>
  <c r="P29" i="1" s="1"/>
  <c r="P16" i="1"/>
  <c r="O14" i="1"/>
  <c r="O19" i="1"/>
  <c r="P15" i="1"/>
  <c r="O10" i="1"/>
  <c r="P6" i="1"/>
  <c r="O5" i="1"/>
  <c r="X24" i="1" l="1"/>
  <c r="AB16" i="1"/>
  <c r="AB26" i="1" s="1"/>
  <c r="AB14" i="1"/>
  <c r="AB24" i="1" s="1"/>
  <c r="O26" i="1"/>
  <c r="P26" i="1" s="1"/>
  <c r="C25" i="1" s="1"/>
  <c r="AC7" i="1"/>
  <c r="AC16" i="1" s="1"/>
  <c r="AC26" i="1" s="1"/>
  <c r="C28" i="1"/>
  <c r="C15" i="1"/>
  <c r="C18" i="1"/>
  <c r="P5" i="1"/>
  <c r="O7" i="1"/>
  <c r="Y6" i="1" s="1"/>
  <c r="Y15" i="1" s="1"/>
  <c r="Y25" i="1" s="1"/>
  <c r="O22" i="1"/>
  <c r="P22" i="1" s="1"/>
  <c r="O25" i="1"/>
  <c r="P25" i="1" s="1"/>
  <c r="P10" i="1"/>
  <c r="P19" i="1"/>
  <c r="O18" i="1"/>
  <c r="O17" i="1"/>
  <c r="P14" i="1"/>
  <c r="O8" i="1"/>
  <c r="X15" i="1" l="1"/>
  <c r="X25" i="1" s="1"/>
  <c r="AC6" i="1"/>
  <c r="AC15" i="1" s="1"/>
  <c r="AC25" i="1" s="1"/>
  <c r="AB6" i="1"/>
  <c r="X6" i="1"/>
  <c r="C24" i="1"/>
  <c r="C10" i="1"/>
  <c r="C13" i="1"/>
  <c r="C21" i="1"/>
  <c r="P18" i="1"/>
  <c r="O27" i="1"/>
  <c r="P27" i="1" s="1"/>
  <c r="P17" i="1"/>
  <c r="O28" i="1"/>
  <c r="P28" i="1" s="1"/>
  <c r="O23" i="1"/>
  <c r="P23" i="1" s="1"/>
  <c r="P7" i="1"/>
  <c r="O24" i="1"/>
  <c r="P24" i="1" s="1"/>
  <c r="P8" i="1"/>
  <c r="C27" i="1" l="1"/>
  <c r="C16" i="1"/>
  <c r="C17" i="1"/>
  <c r="C26" i="1"/>
  <c r="C22" i="1"/>
  <c r="C12" i="1"/>
  <c r="C23" i="1"/>
  <c r="C11" i="1"/>
</calcChain>
</file>

<file path=xl/sharedStrings.xml><?xml version="1.0" encoding="utf-8"?>
<sst xmlns="http://schemas.openxmlformats.org/spreadsheetml/2006/main" count="145" uniqueCount="67">
  <si>
    <t>ID:</t>
    <phoneticPr fontId="2"/>
  </si>
  <si>
    <t>ID:</t>
    <phoneticPr fontId="2"/>
  </si>
  <si>
    <t>RIGHT</t>
    <phoneticPr fontId="2"/>
  </si>
  <si>
    <t>L-X:</t>
    <phoneticPr fontId="2"/>
  </si>
  <si>
    <t>L-Y:</t>
    <phoneticPr fontId="2"/>
  </si>
  <si>
    <t>L-Z:</t>
    <phoneticPr fontId="2"/>
  </si>
  <si>
    <t>R-Y:</t>
    <phoneticPr fontId="2"/>
  </si>
  <si>
    <t>R-Z:</t>
    <phoneticPr fontId="2"/>
  </si>
  <si>
    <t>(mm)</t>
    <phoneticPr fontId="2"/>
  </si>
  <si>
    <t>(mm)</t>
    <phoneticPr fontId="2"/>
  </si>
  <si>
    <t>POS</t>
    <phoneticPr fontId="2"/>
  </si>
  <si>
    <t>AX-12の値</t>
    <rPh sb="6" eb="7">
      <t>アタイ</t>
    </rPh>
    <phoneticPr fontId="2"/>
  </si>
  <si>
    <t>並び替え</t>
    <rPh sb="0" eb="1">
      <t>ナラ</t>
    </rPh>
    <rPh sb="2" eb="3">
      <t>カ</t>
    </rPh>
    <phoneticPr fontId="2"/>
  </si>
  <si>
    <t>定数</t>
    <rPh sb="0" eb="2">
      <t>テイスウ</t>
    </rPh>
    <phoneticPr fontId="2"/>
  </si>
  <si>
    <t>(mm)</t>
    <phoneticPr fontId="2"/>
  </si>
  <si>
    <t>a:</t>
    <phoneticPr fontId="2"/>
  </si>
  <si>
    <t>初期値</t>
    <rPh sb="0" eb="3">
      <t>ショキチ</t>
    </rPh>
    <phoneticPr fontId="2"/>
  </si>
  <si>
    <t>ID:1</t>
    <phoneticPr fontId="2"/>
  </si>
  <si>
    <t>ID:2</t>
  </si>
  <si>
    <t>ID:3</t>
  </si>
  <si>
    <t>ID:4</t>
  </si>
  <si>
    <t>ID:6</t>
  </si>
  <si>
    <t>ID:7</t>
  </si>
  <si>
    <t>ID:8</t>
  </si>
  <si>
    <t>ID:9</t>
  </si>
  <si>
    <t>(POS)</t>
    <phoneticPr fontId="2"/>
  </si>
  <si>
    <t>L':</t>
    <phoneticPr fontId="2"/>
  </si>
  <si>
    <t>b,c:</t>
    <phoneticPr fontId="2"/>
  </si>
  <si>
    <t>α:</t>
    <phoneticPr fontId="2"/>
  </si>
  <si>
    <t>δ:</t>
    <phoneticPr fontId="2"/>
  </si>
  <si>
    <t>ε:</t>
    <phoneticPr fontId="2"/>
  </si>
  <si>
    <t>θ1:</t>
    <phoneticPr fontId="2"/>
  </si>
  <si>
    <t>θ2:</t>
    <phoneticPr fontId="2"/>
  </si>
  <si>
    <t>θ3:</t>
    <phoneticPr fontId="2"/>
  </si>
  <si>
    <t>θ4:</t>
    <phoneticPr fontId="2"/>
  </si>
  <si>
    <t>-</t>
    <phoneticPr fontId="2"/>
  </si>
  <si>
    <t>(deg)</t>
    <phoneticPr fontId="2"/>
  </si>
  <si>
    <t>(rad)</t>
    <phoneticPr fontId="2"/>
  </si>
  <si>
    <t>回転方向</t>
    <rPh sb="0" eb="2">
      <t>カイテン</t>
    </rPh>
    <rPh sb="2" eb="4">
      <t>ホウコウ</t>
    </rPh>
    <phoneticPr fontId="2"/>
  </si>
  <si>
    <t>DEG</t>
    <phoneticPr fontId="2"/>
  </si>
  <si>
    <t>RAD</t>
    <phoneticPr fontId="2"/>
  </si>
  <si>
    <t>変換テーブル</t>
    <rPh sb="0" eb="2">
      <t>ヘンカン</t>
    </rPh>
    <phoneticPr fontId="2"/>
  </si>
  <si>
    <t>RIGHT</t>
    <phoneticPr fontId="2"/>
  </si>
  <si>
    <t>LEFT</t>
    <phoneticPr fontId="2"/>
  </si>
  <si>
    <t>LEFT</t>
    <phoneticPr fontId="2"/>
  </si>
  <si>
    <t>POS/RAD比率：</t>
    <rPh sb="7" eb="9">
      <t>ヒリツ</t>
    </rPh>
    <phoneticPr fontId="2"/>
  </si>
  <si>
    <t>(四捨五入)</t>
    <rPh sb="1" eb="5">
      <t>シシャゴニュウ</t>
    </rPh>
    <phoneticPr fontId="2"/>
  </si>
  <si>
    <t>R-X:</t>
    <phoneticPr fontId="2"/>
  </si>
  <si>
    <t>220&gt;112</t>
    <phoneticPr fontId="2"/>
  </si>
  <si>
    <t>X</t>
    <phoneticPr fontId="2"/>
  </si>
  <si>
    <t>Z</t>
    <phoneticPr fontId="2"/>
  </si>
  <si>
    <t>運動学変換テーブル(RIGHT)</t>
    <rPh sb="0" eb="2">
      <t>ウンドウ</t>
    </rPh>
    <rPh sb="2" eb="3">
      <t>ガク</t>
    </rPh>
    <rPh sb="3" eb="5">
      <t>ヘンカン</t>
    </rPh>
    <phoneticPr fontId="2"/>
  </si>
  <si>
    <t>運動学変換テーブル(LEFT)</t>
    <rPh sb="0" eb="2">
      <t>ウンドウ</t>
    </rPh>
    <rPh sb="2" eb="3">
      <t>ガク</t>
    </rPh>
    <rPh sb="3" eb="5">
      <t>ヘンカン</t>
    </rPh>
    <phoneticPr fontId="2"/>
  </si>
  <si>
    <t>足</t>
    <rPh sb="0" eb="1">
      <t>アシ</t>
    </rPh>
    <phoneticPr fontId="2"/>
  </si>
  <si>
    <t>ID:4</t>
    <phoneticPr fontId="2"/>
  </si>
  <si>
    <t>ID:3</t>
    <phoneticPr fontId="2"/>
  </si>
  <si>
    <t>膝</t>
    <rPh sb="0" eb="1">
      <t>ヒザ</t>
    </rPh>
    <phoneticPr fontId="2"/>
  </si>
  <si>
    <t>ID:2</t>
    <phoneticPr fontId="2"/>
  </si>
  <si>
    <t>ID:1</t>
    <phoneticPr fontId="2"/>
  </si>
  <si>
    <t>Y</t>
    <phoneticPr fontId="2"/>
  </si>
  <si>
    <t>ID:9</t>
    <phoneticPr fontId="2"/>
  </si>
  <si>
    <t>ID:8</t>
    <phoneticPr fontId="2"/>
  </si>
  <si>
    <t>ID:7</t>
    <phoneticPr fontId="2"/>
  </si>
  <si>
    <t>ID:6</t>
    <phoneticPr fontId="2"/>
  </si>
  <si>
    <t>表示用テーブル(Y-Z)(RIGTH)</t>
    <rPh sb="0" eb="3">
      <t>ヒョウジヨウ</t>
    </rPh>
    <phoneticPr fontId="2"/>
  </si>
  <si>
    <t>表示用テーブル(Y-Z)(LEFT)</t>
    <rPh sb="0" eb="3">
      <t>ヒョウジヨウ</t>
    </rPh>
    <phoneticPr fontId="2"/>
  </si>
  <si>
    <t>逆キネマティクス歩行パターン生成プログラム</t>
    <rPh sb="0" eb="1">
      <t>ギャク</t>
    </rPh>
    <rPh sb="8" eb="10">
      <t>ホコウ</t>
    </rPh>
    <rPh sb="14" eb="16">
      <t>セイセイ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</si>
</sst>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;[Red]\-#,##0.0000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color theme="5" tint="-0.249977111117893"/>
      <name val="ＭＳ Ｐゴシック"/>
      <family val="3"/>
      <charset val="128"/>
      <scheme val="minor"/>
    </font>
    <font>
      <b/>
      <sz val="11"/>
      <color theme="3" tint="0.3999755851924192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0C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3" borderId="1" xfId="0" applyFill="1" applyBorder="1">
      <alignment vertical="center"/>
    </xf>
    <xf numFmtId="0" fontId="5" fillId="0" borderId="0" xfId="0" applyFont="1">
      <alignment vertical="center"/>
    </xf>
    <xf numFmtId="0" fontId="0" fillId="0" borderId="5" xfId="0" applyBorder="1">
      <alignment vertical="center"/>
    </xf>
    <xf numFmtId="176" fontId="0" fillId="3" borderId="1" xfId="1" applyNumberFormat="1" applyFont="1" applyFill="1" applyBorder="1">
      <alignment vertical="center"/>
    </xf>
    <xf numFmtId="0" fontId="0" fillId="0" borderId="0" xfId="0" applyBorder="1">
      <alignment vertical="center"/>
    </xf>
    <xf numFmtId="0" fontId="0" fillId="0" borderId="6" xfId="0" applyFill="1" applyBorder="1" applyAlignment="1">
      <alignment horizontal="right" vertical="center"/>
    </xf>
    <xf numFmtId="0" fontId="0" fillId="0" borderId="7" xfId="0" applyFill="1" applyBorder="1" applyAlignment="1">
      <alignment horizontal="left" vertical="center"/>
    </xf>
    <xf numFmtId="0" fontId="0" fillId="5" borderId="1" xfId="0" applyFill="1" applyBorder="1">
      <alignment vertical="center"/>
    </xf>
    <xf numFmtId="0" fontId="0" fillId="5" borderId="8" xfId="0" applyFill="1" applyBorder="1">
      <alignment vertical="center"/>
    </xf>
    <xf numFmtId="0" fontId="0" fillId="5" borderId="9" xfId="0" applyFill="1" applyBorder="1">
      <alignment vertical="center"/>
    </xf>
    <xf numFmtId="0" fontId="3" fillId="0" borderId="0" xfId="0" applyFont="1" applyAlignment="1">
      <alignment horizontal="left" vertical="center"/>
    </xf>
    <xf numFmtId="0" fontId="0" fillId="0" borderId="8" xfId="0" applyBorder="1" applyAlignment="1">
      <alignment horizontal="right" vertical="center"/>
    </xf>
    <xf numFmtId="0" fontId="0" fillId="3" borderId="8" xfId="0" applyFill="1" applyBorder="1">
      <alignment vertical="center"/>
    </xf>
    <xf numFmtId="0" fontId="0" fillId="0" borderId="10" xfId="0" applyBorder="1" applyAlignment="1">
      <alignment horizontal="right" vertical="center"/>
    </xf>
    <xf numFmtId="0" fontId="0" fillId="3" borderId="10" xfId="0" applyNumberFormat="1" applyFill="1" applyBorder="1">
      <alignment vertical="center"/>
    </xf>
    <xf numFmtId="0" fontId="0" fillId="6" borderId="10" xfId="0" applyFill="1" applyBorder="1" applyAlignment="1">
      <alignment horizontal="center" vertical="center"/>
    </xf>
    <xf numFmtId="0" fontId="0" fillId="2" borderId="11" xfId="0" applyFill="1" applyBorder="1">
      <alignment vertical="center"/>
    </xf>
    <xf numFmtId="0" fontId="0" fillId="2" borderId="12" xfId="0" applyFill="1" applyBorder="1">
      <alignment vertical="center"/>
    </xf>
    <xf numFmtId="0" fontId="0" fillId="2" borderId="13" xfId="0" applyFill="1" applyBorder="1">
      <alignment vertical="center"/>
    </xf>
    <xf numFmtId="0" fontId="0" fillId="4" borderId="11" xfId="0" applyFill="1" applyBorder="1">
      <alignment vertical="center"/>
    </xf>
    <xf numFmtId="0" fontId="0" fillId="4" borderId="12" xfId="0" applyFill="1" applyBorder="1">
      <alignment vertical="center"/>
    </xf>
    <xf numFmtId="0" fontId="0" fillId="4" borderId="13" xfId="0" applyFill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7" borderId="1" xfId="0" applyFill="1" applyBorder="1">
      <alignment vertical="center"/>
    </xf>
    <xf numFmtId="0" fontId="5" fillId="7" borderId="1" xfId="0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1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FFF0C9"/>
      <color rgb="FFF7EAE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365487370207834E-2"/>
          <c:y val="0.11597987751531058"/>
          <c:w val="0.85449794831984027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v>右足</c:v>
          </c:tx>
          <c:spPr>
            <a:ln>
              <a:solidFill>
                <a:schemeClr val="accent2">
                  <a:lumMod val="75000"/>
                  <a:alpha val="50000"/>
                </a:schemeClr>
              </a:solidFill>
            </a:ln>
          </c:spPr>
          <c:marker>
            <c:symbol val="diamond"/>
            <c:size val="7"/>
            <c:spPr>
              <a:solidFill>
                <a:srgbClr val="C00000">
                  <a:alpha val="50000"/>
                </a:srgbClr>
              </a:solidFill>
              <a:ln>
                <a:solidFill>
                  <a:schemeClr val="accent2">
                    <a:lumMod val="75000"/>
                    <a:alpha val="50000"/>
                  </a:schemeClr>
                </a:solidFill>
              </a:ln>
            </c:spPr>
          </c:marker>
          <c:dPt>
            <c:idx val="4"/>
            <c:marker>
              <c:symbol val="diamond"/>
              <c:size val="12"/>
            </c:marker>
            <c:bubble3D val="0"/>
          </c:dPt>
          <c:xVal>
            <c:numRef>
              <c:f>Sheet1!$X$4:$X$10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46.589315432860474</c:v>
                </c:pt>
                <c:pt idx="3">
                  <c:v>30</c:v>
                </c:pt>
                <c:pt idx="4">
                  <c:v>30</c:v>
                </c:pt>
                <c:pt idx="5">
                  <c:v>110</c:v>
                </c:pt>
                <c:pt idx="6">
                  <c:v>0</c:v>
                </c:pt>
              </c:numCache>
            </c:numRef>
          </c:xVal>
          <c:yVal>
            <c:numRef>
              <c:f>Sheet1!$Y$4:$Y$10</c:f>
              <c:numCache>
                <c:formatCode>General</c:formatCode>
                <c:ptCount val="7"/>
                <c:pt idx="0">
                  <c:v>0</c:v>
                </c:pt>
                <c:pt idx="1">
                  <c:v>39.950093555113789</c:v>
                </c:pt>
                <c:pt idx="2">
                  <c:v>92.12891219554156</c:v>
                </c:pt>
                <c:pt idx="3">
                  <c:v>160.0499064448862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</c:numCache>
            </c:numRef>
          </c:yVal>
          <c:smooth val="0"/>
        </c:ser>
        <c:ser>
          <c:idx val="1"/>
          <c:order val="1"/>
          <c:tx>
            <c:v>左足</c:v>
          </c:tx>
          <c:spPr>
            <a:ln w="28575">
              <a:solidFill>
                <a:schemeClr val="tx2">
                  <a:lumMod val="60000"/>
                  <a:lumOff val="40000"/>
                  <a:alpha val="50000"/>
                </a:schemeClr>
              </a:solidFill>
            </a:ln>
          </c:spPr>
          <c:marker>
            <c:symbol val="circle"/>
            <c:size val="6"/>
            <c:spPr>
              <a:solidFill>
                <a:schemeClr val="accent1">
                  <a:alpha val="50000"/>
                </a:schemeClr>
              </a:solidFill>
              <a:ln w="9525">
                <a:solidFill>
                  <a:schemeClr val="tx2">
                    <a:lumMod val="60000"/>
                    <a:lumOff val="40000"/>
                    <a:alpha val="50000"/>
                  </a:schemeClr>
                </a:solidFill>
              </a:ln>
            </c:spPr>
          </c:marker>
          <c:dPt>
            <c:idx val="4"/>
            <c:marker>
              <c:symbol val="circle"/>
              <c:size val="12"/>
            </c:marker>
            <c:bubble3D val="0"/>
          </c:dPt>
          <c:xVal>
            <c:numRef>
              <c:f>Sheet1!$AB$4:$AB$10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13.380070950230813</c:v>
                </c:pt>
                <c:pt idx="3">
                  <c:v>-20</c:v>
                </c:pt>
                <c:pt idx="4">
                  <c:v>-20</c:v>
                </c:pt>
                <c:pt idx="5">
                  <c:v>60</c:v>
                </c:pt>
                <c:pt idx="6">
                  <c:v>-50</c:v>
                </c:pt>
              </c:numCache>
            </c:numRef>
          </c:xVal>
          <c:yVal>
            <c:numRef>
              <c:f>Sheet1!$AC$4:$AC$10</c:f>
              <c:numCache>
                <c:formatCode>General</c:formatCode>
                <c:ptCount val="7"/>
                <c:pt idx="0">
                  <c:v>0</c:v>
                </c:pt>
                <c:pt idx="1">
                  <c:v>40</c:v>
                </c:pt>
                <c:pt idx="2">
                  <c:v>108.58629816610701</c:v>
                </c:pt>
                <c:pt idx="3">
                  <c:v>170.0452744910225</c:v>
                </c:pt>
                <c:pt idx="4">
                  <c:v>210</c:v>
                </c:pt>
                <c:pt idx="5">
                  <c:v>210</c:v>
                </c:pt>
                <c:pt idx="6">
                  <c:v>210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77216"/>
        <c:axId val="42379136"/>
      </c:scatterChart>
      <c:valAx>
        <c:axId val="42377216"/>
        <c:scaling>
          <c:orientation val="maxMin"/>
          <c:max val="200"/>
          <c:min val="-200"/>
        </c:scaling>
        <c:delete val="0"/>
        <c:axPos val="t"/>
        <c:numFmt formatCode="General" sourceLinked="1"/>
        <c:majorTickMark val="out"/>
        <c:minorTickMark val="none"/>
        <c:tickLblPos val="nextTo"/>
        <c:crossAx val="42379136"/>
        <c:crosses val="autoZero"/>
        <c:crossBetween val="midCat"/>
        <c:majorUnit val="100"/>
      </c:valAx>
      <c:valAx>
        <c:axId val="42379136"/>
        <c:scaling>
          <c:orientation val="maxMin"/>
          <c:max val="220"/>
          <c:min val="0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42377216"/>
        <c:crosses val="autoZero"/>
        <c:crossBetween val="midCat"/>
        <c:majorUnit val="100"/>
      </c:valAx>
    </c:plotArea>
    <c:plotVisOnly val="1"/>
    <c:dispBlanksAs val="gap"/>
    <c:showDLblsOverMax val="0"/>
  </c:chart>
  <c:spPr>
    <a:scene3d>
      <a:camera prst="orthographicFront"/>
      <a:lightRig rig="threePt" dir="t"/>
    </a:scene3d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RIGHT</c:v>
          </c:tx>
          <c:spPr>
            <a:ln>
              <a:solidFill>
                <a:schemeClr val="accent2">
                  <a:lumMod val="75000"/>
                  <a:alpha val="50000"/>
                </a:schemeClr>
              </a:solidFill>
            </a:ln>
          </c:spPr>
          <c:marker>
            <c:symbol val="diamond"/>
            <c:size val="7"/>
            <c:spPr>
              <a:solidFill>
                <a:srgbClr val="C00000">
                  <a:alpha val="50000"/>
                </a:srgbClr>
              </a:solidFill>
              <a:ln>
                <a:solidFill>
                  <a:schemeClr val="accent2">
                    <a:lumMod val="75000"/>
                    <a:alpha val="50000"/>
                  </a:schemeClr>
                </a:solidFill>
              </a:ln>
            </c:spPr>
          </c:marker>
          <c:dPt>
            <c:idx val="4"/>
            <c:marker>
              <c:symbol val="diamond"/>
              <c:size val="12"/>
            </c:marker>
            <c:bubble3D val="0"/>
          </c:dPt>
          <c:xVal>
            <c:numRef>
              <c:f>Sheet1!$X$23:$X$29</c:f>
              <c:numCache>
                <c:formatCode>General</c:formatCode>
                <c:ptCount val="7"/>
                <c:pt idx="0">
                  <c:v>40</c:v>
                </c:pt>
                <c:pt idx="1">
                  <c:v>41.997504677755693</c:v>
                </c:pt>
                <c:pt idx="2">
                  <c:v>44.606445609777083</c:v>
                </c:pt>
                <c:pt idx="3">
                  <c:v>48.002495322244314</c:v>
                </c:pt>
                <c:pt idx="4">
                  <c:v>50</c:v>
                </c:pt>
                <c:pt idx="5">
                  <c:v>20</c:v>
                </c:pt>
                <c:pt idx="6">
                  <c:v>120</c:v>
                </c:pt>
              </c:numCache>
            </c:numRef>
          </c:xVal>
          <c:yVal>
            <c:numRef>
              <c:f>Sheet1!$Y$23:$Y$29</c:f>
              <c:numCache>
                <c:formatCode>General</c:formatCode>
                <c:ptCount val="7"/>
                <c:pt idx="0">
                  <c:v>0</c:v>
                </c:pt>
                <c:pt idx="1">
                  <c:v>39.950093555113789</c:v>
                </c:pt>
                <c:pt idx="2">
                  <c:v>92.12891219554156</c:v>
                </c:pt>
                <c:pt idx="3">
                  <c:v>160.0499064448862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</c:numCache>
            </c:numRef>
          </c:yVal>
          <c:smooth val="0"/>
        </c:ser>
        <c:ser>
          <c:idx val="1"/>
          <c:order val="1"/>
          <c:tx>
            <c:v>LEFT</c:v>
          </c:tx>
          <c:spPr>
            <a:ln>
              <a:solidFill>
                <a:schemeClr val="tx2">
                  <a:lumMod val="60000"/>
                  <a:lumOff val="40000"/>
                  <a:alpha val="50000"/>
                </a:schemeClr>
              </a:solidFill>
            </a:ln>
          </c:spPr>
          <c:marker>
            <c:symbol val="circle"/>
            <c:size val="6"/>
            <c:spPr>
              <a:solidFill>
                <a:schemeClr val="tx2">
                  <a:lumMod val="60000"/>
                  <a:lumOff val="40000"/>
                  <a:alpha val="50000"/>
                </a:schemeClr>
              </a:solidFill>
              <a:ln>
                <a:solidFill>
                  <a:schemeClr val="tx2">
                    <a:lumMod val="60000"/>
                    <a:lumOff val="40000"/>
                    <a:alpha val="50000"/>
                  </a:schemeClr>
                </a:solidFill>
              </a:ln>
            </c:spPr>
          </c:marker>
          <c:dPt>
            <c:idx val="4"/>
            <c:marker>
              <c:symbol val="circle"/>
              <c:size val="12"/>
            </c:marker>
            <c:bubble3D val="0"/>
          </c:dPt>
          <c:xVal>
            <c:numRef>
              <c:f>Sheet1!$AB$23:$AB$29</c:f>
              <c:numCache>
                <c:formatCode>General</c:formatCode>
                <c:ptCount val="7"/>
                <c:pt idx="0">
                  <c:v>-40</c:v>
                </c:pt>
                <c:pt idx="1">
                  <c:v>-38.097394023382023</c:v>
                </c:pt>
                <c:pt idx="2">
                  <c:v>-34.830242781523367</c:v>
                </c:pt>
                <c:pt idx="3">
                  <c:v>-31.902605976617977</c:v>
                </c:pt>
                <c:pt idx="4">
                  <c:v>-30</c:v>
                </c:pt>
                <c:pt idx="5">
                  <c:v>0</c:v>
                </c:pt>
                <c:pt idx="6">
                  <c:v>-100</c:v>
                </c:pt>
              </c:numCache>
            </c:numRef>
          </c:xVal>
          <c:yVal>
            <c:numRef>
              <c:f>Sheet1!$AC$23:$AC$29</c:f>
              <c:numCache>
                <c:formatCode>General</c:formatCode>
                <c:ptCount val="7"/>
                <c:pt idx="0">
                  <c:v>0</c:v>
                </c:pt>
                <c:pt idx="1">
                  <c:v>40</c:v>
                </c:pt>
                <c:pt idx="2">
                  <c:v>108.58629816610701</c:v>
                </c:pt>
                <c:pt idx="3">
                  <c:v>170.0452744910225</c:v>
                </c:pt>
                <c:pt idx="4">
                  <c:v>210</c:v>
                </c:pt>
                <c:pt idx="5">
                  <c:v>210</c:v>
                </c:pt>
                <c:pt idx="6">
                  <c:v>210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01024"/>
        <c:axId val="42823680"/>
      </c:scatterChart>
      <c:valAx>
        <c:axId val="42801024"/>
        <c:scaling>
          <c:orientation val="maxMin"/>
          <c:max val="200"/>
          <c:min val="-200"/>
        </c:scaling>
        <c:delete val="0"/>
        <c:axPos val="t"/>
        <c:numFmt formatCode="General" sourceLinked="1"/>
        <c:majorTickMark val="out"/>
        <c:minorTickMark val="none"/>
        <c:tickLblPos val="nextTo"/>
        <c:crossAx val="42823680"/>
        <c:crosses val="autoZero"/>
        <c:crossBetween val="midCat"/>
        <c:majorUnit val="100"/>
      </c:valAx>
      <c:valAx>
        <c:axId val="42823680"/>
        <c:scaling>
          <c:orientation val="maxMin"/>
          <c:max val="220"/>
          <c:min val="0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42801024"/>
        <c:crosses val="autoZero"/>
        <c:crossBetween val="midCat"/>
        <c:majorUnit val="10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95250</xdr:colOff>
      <xdr:row>6</xdr:row>
      <xdr:rowOff>28575</xdr:rowOff>
    </xdr:from>
    <xdr:to>
      <xdr:col>7</xdr:col>
      <xdr:colOff>657225</xdr:colOff>
      <xdr:row>24</xdr:row>
      <xdr:rowOff>32882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7775" y="1057275"/>
          <a:ext cx="3305175" cy="3128507"/>
        </a:xfrm>
        <a:prstGeom prst="rect">
          <a:avLst/>
        </a:prstGeom>
      </xdr:spPr>
    </xdr:pic>
    <xdr:clientData/>
  </xdr:twoCellAnchor>
  <xdr:twoCellAnchor>
    <xdr:from>
      <xdr:col>3</xdr:col>
      <xdr:colOff>19050</xdr:colOff>
      <xdr:row>11</xdr:row>
      <xdr:rowOff>38100</xdr:rowOff>
    </xdr:from>
    <xdr:to>
      <xdr:col>6</xdr:col>
      <xdr:colOff>47625</xdr:colOff>
      <xdr:row>14</xdr:row>
      <xdr:rowOff>85725</xdr:rowOff>
    </xdr:to>
    <xdr:cxnSp macro="">
      <xdr:nvCxnSpPr>
        <xdr:cNvPr id="13" name="直線矢印コネクタ 12"/>
        <xdr:cNvCxnSpPr/>
      </xdr:nvCxnSpPr>
      <xdr:spPr>
        <a:xfrm flipV="1">
          <a:off x="1133475" y="1924050"/>
          <a:ext cx="2085975" cy="561975"/>
        </a:xfrm>
        <a:prstGeom prst="straightConnector1">
          <a:avLst/>
        </a:prstGeom>
        <a:ln>
          <a:tailEnd type="arrow"/>
        </a:ln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28575</xdr:colOff>
      <xdr:row>14</xdr:row>
      <xdr:rowOff>38100</xdr:rowOff>
    </xdr:from>
    <xdr:to>
      <xdr:col>6</xdr:col>
      <xdr:colOff>19050</xdr:colOff>
      <xdr:row>15</xdr:row>
      <xdr:rowOff>95251</xdr:rowOff>
    </xdr:to>
    <xdr:cxnSp macro="">
      <xdr:nvCxnSpPr>
        <xdr:cNvPr id="15" name="直線矢印コネクタ 14"/>
        <xdr:cNvCxnSpPr/>
      </xdr:nvCxnSpPr>
      <xdr:spPr>
        <a:xfrm flipV="1">
          <a:off x="1143000" y="2438400"/>
          <a:ext cx="2047875" cy="228601"/>
        </a:xfrm>
        <a:prstGeom prst="straightConnector1">
          <a:avLst/>
        </a:prstGeom>
        <a:ln>
          <a:tailEnd type="arrow"/>
        </a:ln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28575</xdr:colOff>
      <xdr:row>16</xdr:row>
      <xdr:rowOff>85727</xdr:rowOff>
    </xdr:from>
    <xdr:to>
      <xdr:col>6</xdr:col>
      <xdr:colOff>0</xdr:colOff>
      <xdr:row>20</xdr:row>
      <xdr:rowOff>28575</xdr:rowOff>
    </xdr:to>
    <xdr:cxnSp macro="">
      <xdr:nvCxnSpPr>
        <xdr:cNvPr id="17" name="直線矢印コネクタ 16"/>
        <xdr:cNvCxnSpPr/>
      </xdr:nvCxnSpPr>
      <xdr:spPr>
        <a:xfrm>
          <a:off x="1143000" y="2828927"/>
          <a:ext cx="2028825" cy="628648"/>
        </a:xfrm>
        <a:prstGeom prst="straightConnector1">
          <a:avLst/>
        </a:prstGeom>
        <a:ln>
          <a:tailEnd type="arrow"/>
        </a:ln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28575</xdr:colOff>
      <xdr:row>17</xdr:row>
      <xdr:rowOff>85729</xdr:rowOff>
    </xdr:from>
    <xdr:to>
      <xdr:col>6</xdr:col>
      <xdr:colOff>247650</xdr:colOff>
      <xdr:row>22</xdr:row>
      <xdr:rowOff>95250</xdr:rowOff>
    </xdr:to>
    <xdr:cxnSp macro="">
      <xdr:nvCxnSpPr>
        <xdr:cNvPr id="19" name="直線矢印コネクタ 18"/>
        <xdr:cNvCxnSpPr/>
      </xdr:nvCxnSpPr>
      <xdr:spPr>
        <a:xfrm>
          <a:off x="1143000" y="3000379"/>
          <a:ext cx="2276475" cy="866771"/>
        </a:xfrm>
        <a:prstGeom prst="straightConnector1">
          <a:avLst/>
        </a:prstGeom>
        <a:ln>
          <a:tailEnd type="arrow"/>
        </a:ln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28575</xdr:colOff>
      <xdr:row>9</xdr:row>
      <xdr:rowOff>85725</xdr:rowOff>
    </xdr:from>
    <xdr:to>
      <xdr:col>5</xdr:col>
      <xdr:colOff>19050</xdr:colOff>
      <xdr:row>11</xdr:row>
      <xdr:rowOff>66675</xdr:rowOff>
    </xdr:to>
    <xdr:cxnSp macro="">
      <xdr:nvCxnSpPr>
        <xdr:cNvPr id="4" name="直線矢印コネクタ 3"/>
        <xdr:cNvCxnSpPr/>
      </xdr:nvCxnSpPr>
      <xdr:spPr>
        <a:xfrm>
          <a:off x="1143000" y="1628775"/>
          <a:ext cx="1362075" cy="32385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28575</xdr:colOff>
      <xdr:row>10</xdr:row>
      <xdr:rowOff>85725</xdr:rowOff>
    </xdr:from>
    <xdr:to>
      <xdr:col>4</xdr:col>
      <xdr:colOff>628650</xdr:colOff>
      <xdr:row>14</xdr:row>
      <xdr:rowOff>76200</xdr:rowOff>
    </xdr:to>
    <xdr:cxnSp macro="">
      <xdr:nvCxnSpPr>
        <xdr:cNvPr id="5" name="直線矢印コネクタ 4"/>
        <xdr:cNvCxnSpPr/>
      </xdr:nvCxnSpPr>
      <xdr:spPr>
        <a:xfrm>
          <a:off x="1143000" y="1800225"/>
          <a:ext cx="1285875" cy="676275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28575</xdr:colOff>
      <xdr:row>11</xdr:row>
      <xdr:rowOff>95250</xdr:rowOff>
    </xdr:from>
    <xdr:to>
      <xdr:col>4</xdr:col>
      <xdr:colOff>657225</xdr:colOff>
      <xdr:row>20</xdr:row>
      <xdr:rowOff>28575</xdr:rowOff>
    </xdr:to>
    <xdr:cxnSp macro="">
      <xdr:nvCxnSpPr>
        <xdr:cNvPr id="7" name="直線矢印コネクタ 6"/>
        <xdr:cNvCxnSpPr/>
      </xdr:nvCxnSpPr>
      <xdr:spPr>
        <a:xfrm>
          <a:off x="1143000" y="1981200"/>
          <a:ext cx="1314450" cy="1476375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47625</xdr:colOff>
      <xdr:row>12</xdr:row>
      <xdr:rowOff>104775</xdr:rowOff>
    </xdr:from>
    <xdr:to>
      <xdr:col>4</xdr:col>
      <xdr:colOff>552450</xdr:colOff>
      <xdr:row>22</xdr:row>
      <xdr:rowOff>142875</xdr:rowOff>
    </xdr:to>
    <xdr:cxnSp macro="">
      <xdr:nvCxnSpPr>
        <xdr:cNvPr id="9" name="直線矢印コネクタ 8"/>
        <xdr:cNvCxnSpPr/>
      </xdr:nvCxnSpPr>
      <xdr:spPr>
        <a:xfrm>
          <a:off x="1162050" y="2162175"/>
          <a:ext cx="1190625" cy="175260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</xdr:colOff>
      <xdr:row>25</xdr:row>
      <xdr:rowOff>57150</xdr:rowOff>
    </xdr:from>
    <xdr:to>
      <xdr:col>5</xdr:col>
      <xdr:colOff>66675</xdr:colOff>
      <xdr:row>28</xdr:row>
      <xdr:rowOff>76200</xdr:rowOff>
    </xdr:to>
    <xdr:cxnSp macro="">
      <xdr:nvCxnSpPr>
        <xdr:cNvPr id="22" name="直線矢印コネクタ 21"/>
        <xdr:cNvCxnSpPr/>
      </xdr:nvCxnSpPr>
      <xdr:spPr>
        <a:xfrm>
          <a:off x="2552700" y="4343400"/>
          <a:ext cx="0" cy="533400"/>
        </a:xfrm>
        <a:prstGeom prst="straightConnector1">
          <a:avLst/>
        </a:prstGeom>
        <a:ln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276225</xdr:colOff>
      <xdr:row>25</xdr:row>
      <xdr:rowOff>66675</xdr:rowOff>
    </xdr:from>
    <xdr:to>
      <xdr:col>5</xdr:col>
      <xdr:colOff>85725</xdr:colOff>
      <xdr:row>25</xdr:row>
      <xdr:rowOff>76200</xdr:rowOff>
    </xdr:to>
    <xdr:cxnSp macro="">
      <xdr:nvCxnSpPr>
        <xdr:cNvPr id="24" name="直線矢印コネクタ 23"/>
        <xdr:cNvCxnSpPr/>
      </xdr:nvCxnSpPr>
      <xdr:spPr>
        <a:xfrm flipH="1">
          <a:off x="2076450" y="4352925"/>
          <a:ext cx="495300" cy="9525"/>
        </a:xfrm>
        <a:prstGeom prst="straightConnector1">
          <a:avLst/>
        </a:prstGeom>
        <a:ln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638175</xdr:colOff>
      <xdr:row>25</xdr:row>
      <xdr:rowOff>76200</xdr:rowOff>
    </xdr:from>
    <xdr:to>
      <xdr:col>5</xdr:col>
      <xdr:colOff>638175</xdr:colOff>
      <xdr:row>28</xdr:row>
      <xdr:rowOff>95250</xdr:rowOff>
    </xdr:to>
    <xdr:cxnSp macro="">
      <xdr:nvCxnSpPr>
        <xdr:cNvPr id="28" name="直線矢印コネクタ 27"/>
        <xdr:cNvCxnSpPr/>
      </xdr:nvCxnSpPr>
      <xdr:spPr>
        <a:xfrm>
          <a:off x="3124200" y="4362450"/>
          <a:ext cx="0" cy="533400"/>
        </a:xfrm>
        <a:prstGeom prst="straightConnector1">
          <a:avLst/>
        </a:prstGeom>
        <a:ln>
          <a:tailEnd type="arrow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609600</xdr:colOff>
      <xdr:row>25</xdr:row>
      <xdr:rowOff>76200</xdr:rowOff>
    </xdr:from>
    <xdr:to>
      <xdr:col>6</xdr:col>
      <xdr:colOff>533400</xdr:colOff>
      <xdr:row>25</xdr:row>
      <xdr:rowOff>85725</xdr:rowOff>
    </xdr:to>
    <xdr:cxnSp macro="">
      <xdr:nvCxnSpPr>
        <xdr:cNvPr id="29" name="直線矢印コネクタ 28"/>
        <xdr:cNvCxnSpPr/>
      </xdr:nvCxnSpPr>
      <xdr:spPr>
        <a:xfrm flipV="1">
          <a:off x="3095625" y="4362450"/>
          <a:ext cx="609600" cy="9525"/>
        </a:xfrm>
        <a:prstGeom prst="straightConnector1">
          <a:avLst/>
        </a:prstGeom>
        <a:ln>
          <a:tailEnd type="arrow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30</xdr:row>
      <xdr:rowOff>114300</xdr:rowOff>
    </xdr:from>
    <xdr:to>
      <xdr:col>10</xdr:col>
      <xdr:colOff>266699</xdr:colOff>
      <xdr:row>48</xdr:row>
      <xdr:rowOff>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409574</xdr:colOff>
      <xdr:row>30</xdr:row>
      <xdr:rowOff>114300</xdr:rowOff>
    </xdr:from>
    <xdr:to>
      <xdr:col>23</xdr:col>
      <xdr:colOff>95250</xdr:colOff>
      <xdr:row>47</xdr:row>
      <xdr:rowOff>161924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42"/>
  <sheetViews>
    <sheetView tabSelected="1" zoomScaleNormal="100" workbookViewId="0">
      <selection activeCell="Y40" sqref="Y40:Y41"/>
    </sheetView>
  </sheetViews>
  <sheetFormatPr defaultRowHeight="13.5"/>
  <cols>
    <col min="1" max="1" width="3.625" bestFit="1" customWidth="1"/>
    <col min="2" max="2" width="2.5" bestFit="1" customWidth="1"/>
    <col min="3" max="3" width="8.5" customWidth="1"/>
    <col min="9" max="9" width="2.75" customWidth="1"/>
    <col min="10" max="10" width="7.625" customWidth="1"/>
    <col min="12" max="12" width="10.25" customWidth="1"/>
    <col min="13" max="13" width="1.75" customWidth="1"/>
    <col min="14" max="14" width="5.625" bestFit="1" customWidth="1"/>
    <col min="15" max="15" width="9.125" customWidth="1"/>
    <col min="17" max="17" width="2.125" customWidth="1"/>
    <col min="18" max="18" width="5" customWidth="1"/>
    <col min="19" max="19" width="3.125" customWidth="1"/>
    <col min="20" max="20" width="2.125" customWidth="1"/>
    <col min="21" max="21" width="3.75" customWidth="1"/>
    <col min="22" max="22" width="3.375" customWidth="1"/>
    <col min="26" max="26" width="2.625" customWidth="1"/>
  </cols>
  <sheetData>
    <row r="2" spans="1:29">
      <c r="A2" s="42" t="s">
        <v>66</v>
      </c>
      <c r="B2" s="42"/>
      <c r="C2" s="42"/>
      <c r="D2" s="42"/>
      <c r="E2" s="42"/>
      <c r="F2" s="42"/>
      <c r="G2" s="44">
        <v>40643</v>
      </c>
      <c r="H2" s="45"/>
      <c r="I2" s="41"/>
      <c r="J2" s="41"/>
      <c r="K2" s="41"/>
      <c r="M2" s="42" t="s">
        <v>2</v>
      </c>
      <c r="N2" s="42"/>
      <c r="O2" s="3" t="s">
        <v>37</v>
      </c>
      <c r="P2" s="2" t="s">
        <v>36</v>
      </c>
      <c r="R2" s="42" t="s">
        <v>41</v>
      </c>
      <c r="S2" s="42"/>
      <c r="T2" s="42"/>
      <c r="U2" s="42"/>
      <c r="W2" s="42" t="s">
        <v>51</v>
      </c>
      <c r="X2" s="42"/>
      <c r="Y2" s="42"/>
      <c r="Z2" s="23"/>
      <c r="AA2" s="42" t="s">
        <v>52</v>
      </c>
      <c r="AB2" s="42"/>
      <c r="AC2" s="42"/>
    </row>
    <row r="3" spans="1:29" ht="14.25" thickBot="1">
      <c r="N3" s="26" t="s">
        <v>26</v>
      </c>
      <c r="O3" s="27">
        <f>SQRT(K5^2+(SQRT(K6^2+K7^2)-2*K16)^2)</f>
        <v>123.93556781166068</v>
      </c>
      <c r="P3" s="28" t="s">
        <v>35</v>
      </c>
      <c r="R3" s="11" t="s">
        <v>39</v>
      </c>
      <c r="S3">
        <v>-150</v>
      </c>
      <c r="T3">
        <v>0</v>
      </c>
      <c r="U3">
        <v>150</v>
      </c>
      <c r="W3" s="1"/>
      <c r="X3" s="39" t="s">
        <v>49</v>
      </c>
      <c r="Y3" s="39" t="s">
        <v>50</v>
      </c>
      <c r="AA3" s="1"/>
      <c r="AB3" s="39" t="s">
        <v>49</v>
      </c>
      <c r="AC3" s="39" t="s">
        <v>50</v>
      </c>
    </row>
    <row r="4" spans="1:29" ht="15" thickTop="1" thickBot="1">
      <c r="I4" s="42" t="s">
        <v>2</v>
      </c>
      <c r="J4" s="42"/>
      <c r="K4" t="s">
        <v>8</v>
      </c>
      <c r="N4" s="24" t="s">
        <v>28</v>
      </c>
      <c r="O4" s="25">
        <f>ACOS(O3/(2*K15))</f>
        <v>0.48375636943587441</v>
      </c>
      <c r="P4" s="25">
        <f t="shared" ref="P4:P10" si="0">360*(O4/(2*PI()))</f>
        <v>27.717198281247057</v>
      </c>
      <c r="R4" s="11" t="s">
        <v>10</v>
      </c>
      <c r="S4">
        <v>-511</v>
      </c>
      <c r="T4">
        <v>0</v>
      </c>
      <c r="U4">
        <v>511</v>
      </c>
      <c r="W4" s="12" t="s">
        <v>54</v>
      </c>
      <c r="X4" s="1">
        <v>0</v>
      </c>
      <c r="Y4" s="1">
        <v>0</v>
      </c>
      <c r="AA4" s="12" t="s">
        <v>60</v>
      </c>
      <c r="AB4" s="1">
        <v>0</v>
      </c>
      <c r="AC4" s="1">
        <v>0</v>
      </c>
    </row>
    <row r="5" spans="1:29">
      <c r="J5" s="9" t="s">
        <v>47</v>
      </c>
      <c r="K5" s="29">
        <v>30</v>
      </c>
      <c r="N5" s="12" t="s">
        <v>29</v>
      </c>
      <c r="O5" s="13">
        <f>ASIN(K5/O3)</f>
        <v>0.24448973116932959</v>
      </c>
      <c r="P5" s="13">
        <f t="shared" si="0"/>
        <v>14.008229730290678</v>
      </c>
      <c r="R5" s="11" t="s">
        <v>40</v>
      </c>
      <c r="S5">
        <f>2*PI()*(S3/360)</f>
        <v>-2.6179938779914944</v>
      </c>
      <c r="T5">
        <f>2*PI()*(T3/360)</f>
        <v>0</v>
      </c>
      <c r="U5">
        <f>2*PI()*(U3/360)</f>
        <v>2.6179938779914944</v>
      </c>
      <c r="W5" s="12" t="s">
        <v>55</v>
      </c>
      <c r="X5" s="1">
        <v>0</v>
      </c>
      <c r="Y5" s="1">
        <f>K16*COS(O9)</f>
        <v>39.950093555113789</v>
      </c>
      <c r="AA5" s="12" t="s">
        <v>61</v>
      </c>
      <c r="AB5" s="1">
        <v>0</v>
      </c>
      <c r="AC5" s="1">
        <f>K16*COS(R9)</f>
        <v>40</v>
      </c>
    </row>
    <row r="6" spans="1:29">
      <c r="D6" s="35" t="s">
        <v>42</v>
      </c>
      <c r="E6" s="15"/>
      <c r="F6" s="15"/>
      <c r="G6" s="15"/>
      <c r="H6" s="36" t="s">
        <v>43</v>
      </c>
      <c r="J6" s="9" t="s">
        <v>6</v>
      </c>
      <c r="K6" s="30">
        <v>10</v>
      </c>
      <c r="N6" s="12" t="s">
        <v>30</v>
      </c>
      <c r="O6" s="13">
        <f>ATAN(K6/K7)</f>
        <v>4.9958395721942765E-2</v>
      </c>
      <c r="P6" s="13">
        <f t="shared" si="0"/>
        <v>2.8624052261117479</v>
      </c>
      <c r="R6" s="43" t="s">
        <v>45</v>
      </c>
      <c r="S6" s="43"/>
      <c r="T6" s="43"/>
      <c r="U6" s="16">
        <f>U4/U5</f>
        <v>195.18762220790043</v>
      </c>
      <c r="W6" s="12" t="s">
        <v>56</v>
      </c>
      <c r="X6" s="1">
        <f>K15*SIN(O7)</f>
        <v>46.589315432860474</v>
      </c>
      <c r="Y6" s="1">
        <f>(K15*COS(O7)+K16)*COS(O9)</f>
        <v>92.12891219554156</v>
      </c>
      <c r="AA6" s="12" t="s">
        <v>56</v>
      </c>
      <c r="AB6" s="1">
        <f>K15*SIN(O17)</f>
        <v>13.380070950230813</v>
      </c>
      <c r="AC6" s="1">
        <f>(K15*COS(O17)+K16)*COS(O19)</f>
        <v>108.58629816610701</v>
      </c>
    </row>
    <row r="7" spans="1:29" ht="14.25" thickBot="1">
      <c r="J7" s="9" t="s">
        <v>7</v>
      </c>
      <c r="K7" s="31">
        <v>200</v>
      </c>
      <c r="L7" s="2" t="s">
        <v>48</v>
      </c>
      <c r="N7" s="12" t="s">
        <v>31</v>
      </c>
      <c r="O7" s="13">
        <f>O4+O5</f>
        <v>0.72824610060520401</v>
      </c>
      <c r="P7" s="13">
        <f>360*(O7/(2*PI()))</f>
        <v>41.725428011537737</v>
      </c>
      <c r="W7" s="12" t="s">
        <v>57</v>
      </c>
      <c r="X7" s="1">
        <f>K5</f>
        <v>30</v>
      </c>
      <c r="Y7" s="1">
        <f>K7-K16*COS(O9)</f>
        <v>160.0499064448862</v>
      </c>
      <c r="AA7" s="12" t="s">
        <v>62</v>
      </c>
      <c r="AB7" s="1">
        <f>K10</f>
        <v>-20</v>
      </c>
      <c r="AC7" s="1">
        <f>K12-K16*COS(O19)</f>
        <v>170.0452744910225</v>
      </c>
    </row>
    <row r="8" spans="1:29">
      <c r="A8" s="42" t="s">
        <v>11</v>
      </c>
      <c r="B8" s="42"/>
      <c r="C8" s="42"/>
      <c r="N8" s="12" t="s">
        <v>32</v>
      </c>
      <c r="O8" s="13">
        <f>O4-O5</f>
        <v>0.23926663826654482</v>
      </c>
      <c r="P8" s="13">
        <f t="shared" si="0"/>
        <v>13.708968550956378</v>
      </c>
      <c r="W8" s="12" t="s">
        <v>58</v>
      </c>
      <c r="X8" s="1">
        <f>K5</f>
        <v>30</v>
      </c>
      <c r="Y8" s="1">
        <f>K7</f>
        <v>200</v>
      </c>
      <c r="AA8" s="12" t="s">
        <v>63</v>
      </c>
      <c r="AB8" s="1">
        <f>K10</f>
        <v>-20</v>
      </c>
      <c r="AC8" s="1">
        <f>K12</f>
        <v>210</v>
      </c>
    </row>
    <row r="9" spans="1:29" ht="14.25" thickBot="1">
      <c r="C9" s="3" t="s">
        <v>10</v>
      </c>
      <c r="I9" s="42" t="s">
        <v>44</v>
      </c>
      <c r="J9" s="42"/>
      <c r="K9" t="s">
        <v>9</v>
      </c>
      <c r="N9" s="12" t="s">
        <v>33</v>
      </c>
      <c r="O9" s="13">
        <f>O6</f>
        <v>4.9958395721942765E-2</v>
      </c>
      <c r="P9" s="13">
        <f t="shared" si="0"/>
        <v>2.8624052261117479</v>
      </c>
      <c r="W9" s="12" t="s">
        <v>53</v>
      </c>
      <c r="X9" s="1">
        <f>K5+80</f>
        <v>110</v>
      </c>
      <c r="Y9" s="1">
        <f>K7</f>
        <v>200</v>
      </c>
      <c r="AA9" s="12" t="s">
        <v>53</v>
      </c>
      <c r="AB9" s="1">
        <f>K10+80</f>
        <v>60</v>
      </c>
      <c r="AC9" s="1">
        <f>K12</f>
        <v>210</v>
      </c>
    </row>
    <row r="10" spans="1:29">
      <c r="A10" s="8" t="s">
        <v>0</v>
      </c>
      <c r="B10" s="4">
        <v>4</v>
      </c>
      <c r="C10" s="22">
        <f>P25</f>
        <v>502</v>
      </c>
      <c r="J10" s="9" t="s">
        <v>3</v>
      </c>
      <c r="K10" s="29">
        <v>-20</v>
      </c>
      <c r="N10" s="12" t="s">
        <v>34</v>
      </c>
      <c r="O10" s="13">
        <f>O6</f>
        <v>4.9958395721942765E-2</v>
      </c>
      <c r="P10" s="13">
        <f t="shared" si="0"/>
        <v>2.8624052261117479</v>
      </c>
      <c r="W10" s="12" t="s">
        <v>53</v>
      </c>
      <c r="X10" s="1">
        <f>K5-30</f>
        <v>0</v>
      </c>
      <c r="Y10" s="1">
        <f>K7</f>
        <v>200</v>
      </c>
      <c r="AA10" s="12" t="s">
        <v>53</v>
      </c>
      <c r="AB10" s="1">
        <f>K10-30</f>
        <v>-50</v>
      </c>
      <c r="AC10" s="1">
        <f>K12</f>
        <v>210</v>
      </c>
    </row>
    <row r="11" spans="1:29">
      <c r="A11" s="9" t="s">
        <v>0</v>
      </c>
      <c r="B11" s="5">
        <v>3</v>
      </c>
      <c r="C11" s="20">
        <f>P24</f>
        <v>340</v>
      </c>
      <c r="J11" s="9" t="s">
        <v>4</v>
      </c>
      <c r="K11" s="30">
        <v>-10</v>
      </c>
      <c r="X11" s="2"/>
      <c r="Y11" s="2"/>
      <c r="Z11" s="2"/>
      <c r="AA11" s="2"/>
      <c r="AB11" s="2"/>
      <c r="AC11" s="2"/>
    </row>
    <row r="12" spans="1:29" ht="14.25" thickBot="1">
      <c r="A12" s="9" t="s">
        <v>0</v>
      </c>
      <c r="B12" s="5">
        <v>2</v>
      </c>
      <c r="C12" s="20">
        <f>P23</f>
        <v>589</v>
      </c>
      <c r="J12" s="9" t="s">
        <v>5</v>
      </c>
      <c r="K12" s="31">
        <v>210</v>
      </c>
      <c r="L12" s="2" t="s">
        <v>48</v>
      </c>
      <c r="M12" s="42" t="s">
        <v>44</v>
      </c>
      <c r="N12" s="42"/>
      <c r="O12" s="3" t="s">
        <v>37</v>
      </c>
      <c r="P12" s="2" t="s">
        <v>36</v>
      </c>
      <c r="W12" s="1"/>
      <c r="X12" s="39" t="s">
        <v>59</v>
      </c>
      <c r="Y12" s="39" t="s">
        <v>50</v>
      </c>
      <c r="Z12" s="2"/>
      <c r="AA12" s="39"/>
      <c r="AB12" s="39" t="s">
        <v>59</v>
      </c>
      <c r="AC12" s="39" t="s">
        <v>50</v>
      </c>
    </row>
    <row r="13" spans="1:29">
      <c r="A13" s="10" t="s">
        <v>0</v>
      </c>
      <c r="B13" s="6">
        <v>1</v>
      </c>
      <c r="C13" s="21">
        <f>P22</f>
        <v>502</v>
      </c>
      <c r="N13" s="12" t="s">
        <v>26</v>
      </c>
      <c r="O13" s="13">
        <f>SQRT(K10^2+(SQRT(K12^2+K11^2)-2*K16)^2)</f>
        <v>131.76466268842407</v>
      </c>
      <c r="P13" s="13" t="s">
        <v>35</v>
      </c>
      <c r="W13" s="12" t="s">
        <v>54</v>
      </c>
      <c r="X13" s="1">
        <v>0</v>
      </c>
      <c r="Y13" s="1">
        <f>Y4</f>
        <v>0</v>
      </c>
      <c r="AA13" s="12" t="s">
        <v>60</v>
      </c>
      <c r="AB13" s="1">
        <v>0</v>
      </c>
      <c r="AC13" s="1">
        <f>AC4</f>
        <v>0</v>
      </c>
    </row>
    <row r="14" spans="1:29">
      <c r="A14" s="11"/>
      <c r="B14" s="7"/>
      <c r="I14" s="42" t="s">
        <v>13</v>
      </c>
      <c r="J14" s="42"/>
      <c r="K14" t="s">
        <v>14</v>
      </c>
      <c r="N14" s="12" t="s">
        <v>28</v>
      </c>
      <c r="O14" s="13">
        <f>ACOS(O13/(2*K15))</f>
        <v>0.3447020928308</v>
      </c>
      <c r="P14" s="13">
        <f t="shared" ref="P14:P20" si="1">360*(O14/(2*PI()))</f>
        <v>19.749975108531551</v>
      </c>
      <c r="W14" s="12" t="s">
        <v>55</v>
      </c>
      <c r="X14" s="1">
        <f>K16*SIN(O9)</f>
        <v>1.9975046777556895</v>
      </c>
      <c r="Y14" s="1">
        <f t="shared" ref="Y14:Y19" si="2">Y5</f>
        <v>39.950093555113789</v>
      </c>
      <c r="AA14" s="12" t="s">
        <v>61</v>
      </c>
      <c r="AB14" s="1">
        <f>K16*SIN(O19)</f>
        <v>-1.9026059766179761</v>
      </c>
      <c r="AC14" s="1">
        <f t="shared" ref="AC14:AC19" si="3">AC5</f>
        <v>40</v>
      </c>
    </row>
    <row r="15" spans="1:29">
      <c r="A15" s="9" t="s">
        <v>1</v>
      </c>
      <c r="B15" s="5">
        <v>9</v>
      </c>
      <c r="C15" s="20">
        <f>P29</f>
        <v>503</v>
      </c>
      <c r="J15" s="12" t="s">
        <v>15</v>
      </c>
      <c r="K15" s="37">
        <v>70</v>
      </c>
      <c r="N15" s="12" t="s">
        <v>29</v>
      </c>
      <c r="O15" s="13">
        <f>ASIN(K10/O13)</f>
        <v>-0.15237472069255564</v>
      </c>
      <c r="P15" s="13">
        <f t="shared" si="1"/>
        <v>-8.7304284001681705</v>
      </c>
      <c r="W15" s="12" t="s">
        <v>56</v>
      </c>
      <c r="X15" s="1">
        <f>X14+(X16-X14)*((Y15-Y14)/(Y16-Y14))</f>
        <v>4.6064456097770794</v>
      </c>
      <c r="Y15" s="1">
        <f t="shared" si="2"/>
        <v>92.12891219554156</v>
      </c>
      <c r="AA15" s="12" t="s">
        <v>56</v>
      </c>
      <c r="AB15" s="1">
        <f>AB14+(AB16-AB14)*((AC15-AC14)/(AC16-AC14))</f>
        <v>-5.1697572184766365</v>
      </c>
      <c r="AC15" s="1">
        <f t="shared" si="3"/>
        <v>108.58629816610701</v>
      </c>
    </row>
    <row r="16" spans="1:29">
      <c r="A16" s="9" t="s">
        <v>1</v>
      </c>
      <c r="B16" s="5">
        <v>8</v>
      </c>
      <c r="C16" s="20">
        <f>P28</f>
        <v>580</v>
      </c>
      <c r="J16" s="12" t="s">
        <v>27</v>
      </c>
      <c r="K16" s="37">
        <v>40</v>
      </c>
      <c r="N16" s="12" t="s">
        <v>30</v>
      </c>
      <c r="O16" s="13">
        <f>ATAN(K11/K12)</f>
        <v>-4.7583103276983396E-2</v>
      </c>
      <c r="P16" s="13">
        <f t="shared" si="1"/>
        <v>-2.7263109939062655</v>
      </c>
      <c r="W16" s="12" t="s">
        <v>57</v>
      </c>
      <c r="X16" s="1">
        <f>K6-K16*SIN(O9)</f>
        <v>8.0024953222443109</v>
      </c>
      <c r="Y16" s="1">
        <f t="shared" si="2"/>
        <v>160.0499064448862</v>
      </c>
      <c r="AA16" s="12" t="s">
        <v>62</v>
      </c>
      <c r="AB16" s="1">
        <f>K11-K16*SIN(O19)</f>
        <v>-8.097394023382023</v>
      </c>
      <c r="AC16" s="1">
        <f t="shared" si="3"/>
        <v>170.0452744910225</v>
      </c>
    </row>
    <row r="17" spans="1:29">
      <c r="A17" s="9" t="s">
        <v>1</v>
      </c>
      <c r="B17" s="5">
        <v>7</v>
      </c>
      <c r="C17" s="20">
        <f>P27</f>
        <v>385</v>
      </c>
      <c r="N17" s="12" t="s">
        <v>31</v>
      </c>
      <c r="O17" s="13">
        <f>O14+O15</f>
        <v>0.19232737213824436</v>
      </c>
      <c r="P17" s="13">
        <f t="shared" si="1"/>
        <v>11.01954670836338</v>
      </c>
      <c r="W17" s="12" t="s">
        <v>58</v>
      </c>
      <c r="X17" s="1">
        <f>K6</f>
        <v>10</v>
      </c>
      <c r="Y17" s="1">
        <f t="shared" si="2"/>
        <v>200</v>
      </c>
      <c r="AA17" s="12" t="s">
        <v>63</v>
      </c>
      <c r="AB17" s="1">
        <f>K11</f>
        <v>-10</v>
      </c>
      <c r="AC17" s="1">
        <f t="shared" si="3"/>
        <v>210</v>
      </c>
    </row>
    <row r="18" spans="1:29">
      <c r="A18" s="10" t="s">
        <v>1</v>
      </c>
      <c r="B18" s="6">
        <v>6</v>
      </c>
      <c r="C18" s="21">
        <f>P26</f>
        <v>503</v>
      </c>
      <c r="I18" s="42" t="s">
        <v>16</v>
      </c>
      <c r="J18" s="42"/>
      <c r="K18" t="s">
        <v>25</v>
      </c>
      <c r="L18" s="2" t="s">
        <v>38</v>
      </c>
      <c r="N18" s="12" t="s">
        <v>32</v>
      </c>
      <c r="O18" s="13">
        <f>O14-O15</f>
        <v>0.49707681352335564</v>
      </c>
      <c r="P18" s="13">
        <f t="shared" si="1"/>
        <v>28.48040350869972</v>
      </c>
      <c r="W18" s="12" t="s">
        <v>53</v>
      </c>
      <c r="X18" s="1">
        <f>K6-30</f>
        <v>-20</v>
      </c>
      <c r="Y18" s="1">
        <f t="shared" si="2"/>
        <v>200</v>
      </c>
      <c r="AA18" s="12" t="s">
        <v>53</v>
      </c>
      <c r="AB18" s="1">
        <f>K11-30</f>
        <v>-40</v>
      </c>
      <c r="AC18" s="1">
        <f t="shared" si="3"/>
        <v>210</v>
      </c>
    </row>
    <row r="19" spans="1:29">
      <c r="J19" s="12" t="s">
        <v>17</v>
      </c>
      <c r="K19" s="37">
        <v>512</v>
      </c>
      <c r="L19" s="38">
        <v>-1</v>
      </c>
      <c r="N19" s="12" t="s">
        <v>33</v>
      </c>
      <c r="O19" s="13">
        <f>O16</f>
        <v>-4.7583103276983396E-2</v>
      </c>
      <c r="P19" s="13">
        <f t="shared" si="1"/>
        <v>-2.7263109939062655</v>
      </c>
      <c r="W19" s="12" t="s">
        <v>53</v>
      </c>
      <c r="X19" s="1">
        <f>K6+70</f>
        <v>80</v>
      </c>
      <c r="Y19" s="1">
        <f t="shared" si="2"/>
        <v>200</v>
      </c>
      <c r="AA19" s="12" t="s">
        <v>53</v>
      </c>
      <c r="AB19" s="1">
        <f>K11+70</f>
        <v>60</v>
      </c>
      <c r="AC19" s="1">
        <f t="shared" si="3"/>
        <v>210</v>
      </c>
    </row>
    <row r="20" spans="1:29" ht="14.25" thickBot="1">
      <c r="A20" s="42" t="s">
        <v>12</v>
      </c>
      <c r="B20" s="42"/>
      <c r="C20" s="42"/>
      <c r="J20" s="12" t="s">
        <v>18</v>
      </c>
      <c r="K20" s="37">
        <v>542</v>
      </c>
      <c r="L20" s="38">
        <v>1</v>
      </c>
      <c r="N20" s="12" t="s">
        <v>34</v>
      </c>
      <c r="O20" s="13">
        <f>O16</f>
        <v>-4.7583103276983396E-2</v>
      </c>
      <c r="P20" s="13">
        <f t="shared" si="1"/>
        <v>-2.7263109939062655</v>
      </c>
    </row>
    <row r="21" spans="1:29">
      <c r="A21" s="18" t="s">
        <v>1</v>
      </c>
      <c r="B21" s="19">
        <v>1</v>
      </c>
      <c r="C21" s="32">
        <f t="shared" ref="C21:C28" si="4">P22</f>
        <v>502</v>
      </c>
      <c r="J21" s="12" t="s">
        <v>19</v>
      </c>
      <c r="K21" s="37">
        <v>482</v>
      </c>
      <c r="L21" s="38">
        <v>-1</v>
      </c>
      <c r="N21" s="14"/>
      <c r="P21" t="s">
        <v>46</v>
      </c>
      <c r="W21" s="42" t="s">
        <v>64</v>
      </c>
      <c r="X21" s="42"/>
      <c r="Y21" s="42"/>
      <c r="AA21" s="42" t="s">
        <v>65</v>
      </c>
      <c r="AB21" s="42"/>
      <c r="AC21" s="42"/>
    </row>
    <row r="22" spans="1:29">
      <c r="A22" s="18" t="s">
        <v>1</v>
      </c>
      <c r="B22" s="19">
        <v>2</v>
      </c>
      <c r="C22" s="33">
        <f t="shared" si="4"/>
        <v>589</v>
      </c>
      <c r="J22" s="12" t="s">
        <v>20</v>
      </c>
      <c r="K22" s="37">
        <v>512</v>
      </c>
      <c r="L22" s="38">
        <v>-1</v>
      </c>
      <c r="N22" s="12" t="s">
        <v>17</v>
      </c>
      <c r="O22" s="1">
        <f>K19+L19*O10*U6</f>
        <v>502.24873952971262</v>
      </c>
      <c r="P22" s="13">
        <f t="shared" ref="P22:P29" si="5">ROUND(O22,0)</f>
        <v>502</v>
      </c>
      <c r="W22" s="1"/>
      <c r="X22" s="39" t="s">
        <v>59</v>
      </c>
      <c r="Y22" s="39" t="s">
        <v>50</v>
      </c>
      <c r="AA22" s="1"/>
      <c r="AB22" s="39" t="s">
        <v>59</v>
      </c>
      <c r="AC22" s="39" t="s">
        <v>50</v>
      </c>
    </row>
    <row r="23" spans="1:29">
      <c r="A23" s="18" t="s">
        <v>1</v>
      </c>
      <c r="B23" s="19">
        <v>3</v>
      </c>
      <c r="C23" s="33">
        <f t="shared" si="4"/>
        <v>340</v>
      </c>
      <c r="J23" s="12" t="s">
        <v>21</v>
      </c>
      <c r="K23" s="37">
        <v>512</v>
      </c>
      <c r="L23" s="38">
        <v>1</v>
      </c>
      <c r="N23" s="12" t="s">
        <v>18</v>
      </c>
      <c r="O23" s="1">
        <f>K20+L20*O8*U6</f>
        <v>588.70188619692476</v>
      </c>
      <c r="P23" s="13">
        <f t="shared" si="5"/>
        <v>589</v>
      </c>
      <c r="W23" s="12" t="s">
        <v>54</v>
      </c>
      <c r="X23" s="1">
        <f t="shared" ref="X23:X29" si="6">X13+40</f>
        <v>40</v>
      </c>
      <c r="Y23" s="1">
        <f t="shared" ref="Y23:Y29" si="7">Y13</f>
        <v>0</v>
      </c>
      <c r="AA23" s="12" t="s">
        <v>60</v>
      </c>
      <c r="AB23" s="1">
        <f t="shared" ref="AB23:AB29" si="8">-AB13-40</f>
        <v>-40</v>
      </c>
      <c r="AC23" s="1">
        <f t="shared" ref="AC23:AC29" si="9">AC13</f>
        <v>0</v>
      </c>
    </row>
    <row r="24" spans="1:29">
      <c r="A24" s="18" t="s">
        <v>1</v>
      </c>
      <c r="B24" s="19">
        <v>4</v>
      </c>
      <c r="C24" s="33">
        <f t="shared" si="4"/>
        <v>502</v>
      </c>
      <c r="J24" s="12" t="s">
        <v>22</v>
      </c>
      <c r="K24" s="37">
        <v>482</v>
      </c>
      <c r="L24" s="38">
        <v>-1</v>
      </c>
      <c r="N24" s="12" t="s">
        <v>19</v>
      </c>
      <c r="O24" s="1">
        <f>K21+L21*O7*U6</f>
        <v>339.8553752406948</v>
      </c>
      <c r="P24" s="13">
        <f t="shared" si="5"/>
        <v>340</v>
      </c>
      <c r="W24" s="12" t="s">
        <v>55</v>
      </c>
      <c r="X24" s="1">
        <f t="shared" si="6"/>
        <v>41.997504677755693</v>
      </c>
      <c r="Y24" s="1">
        <f t="shared" si="7"/>
        <v>39.950093555113789</v>
      </c>
      <c r="AA24" s="12" t="s">
        <v>61</v>
      </c>
      <c r="AB24" s="1">
        <f t="shared" si="8"/>
        <v>-38.097394023382023</v>
      </c>
      <c r="AC24" s="1">
        <f t="shared" si="9"/>
        <v>40</v>
      </c>
    </row>
    <row r="25" spans="1:29">
      <c r="A25" s="18" t="s">
        <v>1</v>
      </c>
      <c r="B25" s="19">
        <v>6</v>
      </c>
      <c r="C25" s="33">
        <f t="shared" si="4"/>
        <v>503</v>
      </c>
      <c r="J25" s="12" t="s">
        <v>23</v>
      </c>
      <c r="K25" s="37">
        <v>542</v>
      </c>
      <c r="L25" s="38">
        <v>1</v>
      </c>
      <c r="N25" s="12" t="s">
        <v>20</v>
      </c>
      <c r="O25" s="1">
        <f>K22+L22*O10*U6</f>
        <v>502.24873952971262</v>
      </c>
      <c r="P25" s="13">
        <f t="shared" si="5"/>
        <v>502</v>
      </c>
      <c r="W25" s="12" t="s">
        <v>56</v>
      </c>
      <c r="X25" s="1">
        <f>X15+40</f>
        <v>44.606445609777083</v>
      </c>
      <c r="Y25" s="1">
        <f t="shared" si="7"/>
        <v>92.12891219554156</v>
      </c>
      <c r="AA25" s="12" t="s">
        <v>56</v>
      </c>
      <c r="AB25" s="1">
        <f t="shared" si="8"/>
        <v>-34.830242781523367</v>
      </c>
      <c r="AC25" s="1">
        <f t="shared" si="9"/>
        <v>108.58629816610701</v>
      </c>
    </row>
    <row r="26" spans="1:29">
      <c r="A26" s="18" t="s">
        <v>1</v>
      </c>
      <c r="B26" s="19">
        <v>7</v>
      </c>
      <c r="C26" s="33">
        <f t="shared" si="4"/>
        <v>385</v>
      </c>
      <c r="J26" s="12" t="s">
        <v>24</v>
      </c>
      <c r="K26" s="37">
        <v>512</v>
      </c>
      <c r="L26" s="38">
        <v>1</v>
      </c>
      <c r="N26" s="12" t="s">
        <v>21</v>
      </c>
      <c r="O26" s="1">
        <f>K23+L23*O19*U6</f>
        <v>502.71236721409264</v>
      </c>
      <c r="P26" s="13">
        <f t="shared" si="5"/>
        <v>503</v>
      </c>
      <c r="W26" s="12" t="s">
        <v>57</v>
      </c>
      <c r="X26" s="1">
        <f t="shared" si="6"/>
        <v>48.002495322244314</v>
      </c>
      <c r="Y26" s="1">
        <f t="shared" si="7"/>
        <v>160.0499064448862</v>
      </c>
      <c r="AA26" s="12" t="s">
        <v>62</v>
      </c>
      <c r="AB26" s="1">
        <f t="shared" si="8"/>
        <v>-31.902605976617977</v>
      </c>
      <c r="AC26" s="1">
        <f t="shared" si="9"/>
        <v>170.0452744910225</v>
      </c>
    </row>
    <row r="27" spans="1:29">
      <c r="A27" s="18" t="s">
        <v>1</v>
      </c>
      <c r="B27" s="19">
        <v>8</v>
      </c>
      <c r="C27" s="33">
        <f t="shared" si="4"/>
        <v>580</v>
      </c>
      <c r="N27" s="12" t="s">
        <v>22</v>
      </c>
      <c r="O27" s="1">
        <f>K24+L24*O18*U6</f>
        <v>384.97675871369631</v>
      </c>
      <c r="P27" s="13">
        <f t="shared" si="5"/>
        <v>385</v>
      </c>
      <c r="W27" s="12" t="s">
        <v>58</v>
      </c>
      <c r="X27" s="1">
        <f t="shared" si="6"/>
        <v>50</v>
      </c>
      <c r="Y27" s="1">
        <f t="shared" si="7"/>
        <v>200</v>
      </c>
      <c r="AA27" s="12" t="s">
        <v>63</v>
      </c>
      <c r="AB27" s="1">
        <f t="shared" si="8"/>
        <v>-30</v>
      </c>
      <c r="AC27" s="1">
        <f t="shared" si="9"/>
        <v>210</v>
      </c>
    </row>
    <row r="28" spans="1:29" ht="14.25" thickBot="1">
      <c r="A28" s="18" t="s">
        <v>1</v>
      </c>
      <c r="B28" s="19">
        <v>9</v>
      </c>
      <c r="C28" s="34">
        <f t="shared" si="4"/>
        <v>503</v>
      </c>
      <c r="D28" s="11"/>
      <c r="N28" s="12" t="s">
        <v>23</v>
      </c>
      <c r="O28" s="1">
        <f>K25+L25*O17*U6</f>
        <v>579.53992245315794</v>
      </c>
      <c r="P28" s="13">
        <f t="shared" si="5"/>
        <v>580</v>
      </c>
      <c r="W28" s="12" t="s">
        <v>53</v>
      </c>
      <c r="X28" s="1">
        <f t="shared" si="6"/>
        <v>20</v>
      </c>
      <c r="Y28" s="1">
        <f t="shared" si="7"/>
        <v>200</v>
      </c>
      <c r="AA28" s="12" t="s">
        <v>53</v>
      </c>
      <c r="AB28" s="1">
        <f t="shared" si="8"/>
        <v>0</v>
      </c>
      <c r="AC28" s="1">
        <f t="shared" si="9"/>
        <v>210</v>
      </c>
    </row>
    <row r="29" spans="1:29">
      <c r="D29" s="11"/>
      <c r="N29" s="12" t="s">
        <v>24</v>
      </c>
      <c r="O29" s="1">
        <f>K26+L26*O20*U6</f>
        <v>502.71236721409264</v>
      </c>
      <c r="P29" s="13">
        <f t="shared" si="5"/>
        <v>503</v>
      </c>
      <c r="W29" s="12" t="s">
        <v>53</v>
      </c>
      <c r="X29" s="1">
        <f t="shared" si="6"/>
        <v>120</v>
      </c>
      <c r="Y29" s="1">
        <f t="shared" si="7"/>
        <v>200</v>
      </c>
      <c r="AA29" s="12" t="s">
        <v>53</v>
      </c>
      <c r="AB29" s="1">
        <f t="shared" si="8"/>
        <v>-100</v>
      </c>
      <c r="AC29" s="1">
        <f t="shared" si="9"/>
        <v>210</v>
      </c>
    </row>
    <row r="30" spans="1:29">
      <c r="D30" s="11"/>
    </row>
    <row r="33" spans="4:8">
      <c r="D33" s="17"/>
      <c r="E33" s="17"/>
      <c r="F33" s="17"/>
      <c r="G33" s="17"/>
      <c r="H33" s="17"/>
    </row>
    <row r="34" spans="4:8">
      <c r="D34" s="17"/>
      <c r="E34" s="17"/>
      <c r="F34" s="17"/>
      <c r="G34" s="17"/>
      <c r="H34" s="17"/>
    </row>
    <row r="35" spans="4:8">
      <c r="D35" s="40"/>
      <c r="E35" s="17"/>
      <c r="F35" s="17"/>
      <c r="G35" s="17"/>
      <c r="H35" s="17"/>
    </row>
    <row r="36" spans="4:8">
      <c r="D36" s="17"/>
      <c r="E36" s="17"/>
      <c r="F36" s="17"/>
      <c r="G36" s="17"/>
      <c r="H36" s="17"/>
    </row>
    <row r="37" spans="4:8">
      <c r="D37" s="17"/>
      <c r="E37" s="17"/>
      <c r="F37" s="17"/>
      <c r="G37" s="17"/>
      <c r="H37" s="17"/>
    </row>
    <row r="38" spans="4:8">
      <c r="D38" s="17"/>
      <c r="E38" s="17"/>
      <c r="F38" s="17"/>
      <c r="G38" s="17"/>
      <c r="H38" s="17"/>
    </row>
    <row r="39" spans="4:8">
      <c r="D39" s="17"/>
      <c r="E39" s="17"/>
      <c r="F39" s="17"/>
      <c r="G39" s="17"/>
      <c r="H39" s="17"/>
    </row>
    <row r="40" spans="4:8">
      <c r="D40" s="17"/>
      <c r="E40" s="17"/>
      <c r="F40" s="17"/>
      <c r="G40" s="17"/>
      <c r="H40" s="17"/>
    </row>
    <row r="41" spans="4:8">
      <c r="D41" s="17"/>
      <c r="E41" s="17"/>
      <c r="F41" s="17"/>
      <c r="G41" s="17"/>
      <c r="H41" s="17"/>
    </row>
    <row r="42" spans="4:8">
      <c r="D42" s="17"/>
      <c r="E42" s="17"/>
      <c r="F42" s="17"/>
      <c r="G42" s="17"/>
      <c r="H42" s="17"/>
    </row>
  </sheetData>
  <mergeCells count="16">
    <mergeCell ref="A20:C20"/>
    <mergeCell ref="I14:J14"/>
    <mergeCell ref="I18:J18"/>
    <mergeCell ref="M2:N2"/>
    <mergeCell ref="M12:N12"/>
    <mergeCell ref="I4:J4"/>
    <mergeCell ref="I9:J9"/>
    <mergeCell ref="A8:C8"/>
    <mergeCell ref="A2:F2"/>
    <mergeCell ref="G2:H2"/>
    <mergeCell ref="W2:Y2"/>
    <mergeCell ref="AA2:AC2"/>
    <mergeCell ref="W21:Y21"/>
    <mergeCell ref="AA21:AC21"/>
    <mergeCell ref="R6:T6"/>
    <mergeCell ref="R2:U2"/>
  </mergeCells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hirokazu</dc:creator>
  <cp:lastModifiedBy>hirokazu</cp:lastModifiedBy>
  <dcterms:created xsi:type="dcterms:W3CDTF">2011-04-09T07:52:01Z</dcterms:created>
  <dcterms:modified xsi:type="dcterms:W3CDTF">2011-04-10T14:04:58Z</dcterms:modified>
</cp:coreProperties>
</file>